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defaultThemeVersion="166925"/>
  <bookViews>
    <workbookView xWindow="65426" yWindow="65426" windowWidth="19420" windowHeight="11500" activeTab="1"/>
  </bookViews>
  <sheets>
    <sheet name="Cálculo del monto a financiar" sheetId="1" r:id="rId1"/>
    <sheet name="CRONOGRAMA Y ESTADO DE CUENTA" sheetId="4" r:id="rId2"/>
    <sheet name="DATOS" sheetId="3" state="hidden" r:id="rId3"/>
  </sheets>
  <definedNames>
    <definedName name="_xlnm._FilterDatabase" localSheetId="1" hidden="1">'CRONOGRAMA Y ESTADO DE CUENTA'!$A$9:$F$35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<sst xmlns="http://schemas.openxmlformats.org/spreadsheetml/2006/main" count="129" uniqueCount="84">
  <si>
    <t>NOMBRE COMPLETO:</t>
  </si>
  <si>
    <t>DNI:</t>
  </si>
  <si>
    <t>Concepto</t>
  </si>
  <si>
    <t>Descripción</t>
  </si>
  <si>
    <t>N°</t>
  </si>
  <si>
    <t>Monto (S/)</t>
  </si>
  <si>
    <t>Tipo de estudio</t>
  </si>
  <si>
    <t>Técnica</t>
  </si>
  <si>
    <t>Tipo de beca</t>
  </si>
  <si>
    <t>Parcial</t>
  </si>
  <si>
    <r>
      <t>¿Cuántos ciclos tiene la carrera?</t>
    </r>
  </si>
  <si>
    <t>Deberá indicar el número de ciclos totales que tiene la carrera. En el caso de Diplomados, indicar el número de módulos</t>
  </si>
  <si>
    <r>
      <t>¿En qué ciclo se encuentra actualmente?</t>
    </r>
  </si>
  <si>
    <t>Para los que ya estudian:
- Indicar el número de ciclo en el que se encuentran.
- En caso hayan concluido el ciclo, indicar el número de ciclo que iniciarán.
Para los ingresantes:
- Indicar que iniciarás el primer ciclo</t>
  </si>
  <si>
    <t>¿Ya te has matriculado en el presente ciclo?</t>
  </si>
  <si>
    <t>Indicar SI/NO</t>
  </si>
  <si>
    <t>NO</t>
  </si>
  <si>
    <r>
      <t>¿En qué mes del ciclo actual se encuentra?</t>
    </r>
  </si>
  <si>
    <t>Indicar el mes en el que se encuentra; si recién va iniciar coloque 0</t>
  </si>
  <si>
    <t>Número de cuotas para pago de derechos académicos por ciclo</t>
  </si>
  <si>
    <t>Indicar cuantas cuotas se pagan por ciclo, por concepto de pensiones</t>
  </si>
  <si>
    <t>Costo de Matrícula por ciclo</t>
  </si>
  <si>
    <t>Indicar cuanto es el costo actual de la matrícula</t>
  </si>
  <si>
    <t>Matrícula</t>
  </si>
  <si>
    <t>Monto de Derechos Académicos por mes</t>
  </si>
  <si>
    <t>Indicar cuanto es el monto mensual por concepto de derechos académicos</t>
  </si>
  <si>
    <t>Derechos académicos</t>
  </si>
  <si>
    <t>Cálculo del costo total pendiente de pago (por concepto de matrícula)</t>
  </si>
  <si>
    <t>Cálculo del costo total pendiente de pago (por concepto de derechos académicos)</t>
  </si>
  <si>
    <t>COSTO TOTAL</t>
  </si>
  <si>
    <t>Pagos pendientes desde el ciclo actual hasta culminar la carrera</t>
  </si>
  <si>
    <t>RESULTADO</t>
  </si>
  <si>
    <t>Presupuesto máximo disponible por Mibeca, para cubrir matrícula y derechos académicos</t>
  </si>
  <si>
    <t>Monto máximo posible a financiar por Mibeca</t>
  </si>
  <si>
    <t>Monto de compromiso de aporte del becario/a</t>
  </si>
  <si>
    <t>CRONOGRAMA DE PAGOS</t>
  </si>
  <si>
    <t>ESTADO DE CUENTA</t>
  </si>
  <si>
    <t>Matrícula y derechos académicos</t>
  </si>
  <si>
    <t>PROVISIONES</t>
  </si>
  <si>
    <t>DESEMBOLSO PROGRAMADO MAT+DDA</t>
  </si>
  <si>
    <t>DESEMBOLSO REAL (O/P) MAT+DDAA</t>
  </si>
  <si>
    <t>SALDO POR DESEMBOLSAR</t>
  </si>
  <si>
    <t>ID</t>
  </si>
  <si>
    <t>N°ciclo</t>
  </si>
  <si>
    <t>N° cuota</t>
  </si>
  <si>
    <t>Mes previsto de pago</t>
  </si>
  <si>
    <t>TOTAL (S/)</t>
  </si>
  <si>
    <t>Aporte becario</t>
  </si>
  <si>
    <t>Aporte FONDOEMPLEO</t>
  </si>
  <si>
    <t>Seguro</t>
  </si>
  <si>
    <t>Gastos Administrativos</t>
  </si>
  <si>
    <t>Incentivo x titulación</t>
  </si>
  <si>
    <t>TOTAL BECA</t>
  </si>
  <si>
    <t>fecha</t>
  </si>
  <si>
    <t>monto</t>
  </si>
  <si>
    <t>monto a desembolsar</t>
  </si>
  <si>
    <t>N° OP</t>
  </si>
  <si>
    <t>Matrícula y DDAA</t>
  </si>
  <si>
    <t>GGAA</t>
  </si>
  <si>
    <t>Incentivo</t>
  </si>
  <si>
    <t>TOTAL</t>
  </si>
  <si>
    <t>-</t>
  </si>
  <si>
    <t>Gastos administrativos</t>
  </si>
  <si>
    <t>Incentivo por titulación</t>
  </si>
  <si>
    <t>COSTO TOTAL S/</t>
  </si>
  <si>
    <t>MONTOS A FINANCIAR</t>
  </si>
  <si>
    <t>COINCIDE CON CUADRO ANTERIOR</t>
  </si>
  <si>
    <t>Concepto de pago</t>
  </si>
  <si>
    <t>Universitaria</t>
  </si>
  <si>
    <t>Diplomado</t>
  </si>
  <si>
    <t>¿Matriculado?</t>
  </si>
  <si>
    <t>SI</t>
  </si>
  <si>
    <t>Completa</t>
  </si>
  <si>
    <t>Estudios</t>
  </si>
  <si>
    <t>Monto máximo financiable por beca (matrícula y derechos académicos)</t>
  </si>
  <si>
    <t>Técn-Parc</t>
  </si>
  <si>
    <t>Univ-Parc</t>
  </si>
  <si>
    <t>Dipl-Parc</t>
  </si>
  <si>
    <t>Dipl-Comp</t>
  </si>
  <si>
    <t>Completo</t>
  </si>
  <si>
    <t>NO EXISTE</t>
  </si>
  <si>
    <t>Técn-Comp</t>
  </si>
  <si>
    <t>Univ-Comp</t>
  </si>
  <si>
    <t>Descargar el archivo: Archivo, descargar.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</si>
</sst>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S/&quot;\ #,##0;\-&quot;S/&quot;\ #,##0"/>
    <numFmt numFmtId="164" formatCode="&quot;S/&quot;\ 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Gotham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theme="9" tint="0.59999001026153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>
        <color theme="5" tint="-0.24993999302387238"/>
      </left>
      <right style="thin">
        <color theme="0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>
        <color theme="0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/>
      <top style="medium">
        <color theme="5" tint="-0.24993999302387238"/>
      </top>
      <bottom style="medium">
        <color theme="5" tint="-0.24993999302387238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  <border>
      <left/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theme="5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medium"/>
      <right/>
      <top style="medium"/>
      <bottom style="thin">
        <color theme="0" tint="-0.3499799966812134"/>
      </bottom>
    </border>
    <border>
      <left/>
      <right style="medium"/>
      <top style="medium"/>
      <bottom style="thin">
        <color theme="0" tint="-0.3499799966812134"/>
      </bottom>
    </border>
    <border>
      <left style="medium"/>
      <right/>
      <top/>
      <bottom style="medium"/>
    </border>
    <border>
      <left/>
      <right/>
      <top style="medium"/>
      <bottom style="thin">
        <color theme="0" tint="-0.349979996681213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/>
      <bottom style="medium"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>
        <color theme="0" tint="-0.24993999302387238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medium"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medium"/>
      <top/>
      <bottom/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3999302387238"/>
      </right>
      <top/>
      <bottom/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153">
    <xf numFmtId="0" fontId="0" fillId="0" borderId="0" xfId="0"/>
    <xf numFmtId="0" fontId="5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right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164" fontId="4" fillId="3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6" fillId="2" borderId="11" xfId="0" applyFont="1" applyFill="1" applyBorder="1" applyAlignment="1" applyProtection="1">
      <alignment horizontal="centerContinuous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6" fillId="2" borderId="12" xfId="0" applyFont="1" applyFill="1" applyBorder="1" applyAlignment="1" applyProtection="1">
      <alignment horizontal="centerContinuous" vertical="center" wrapText="1"/>
      <protection hidden="1"/>
    </xf>
    <xf numFmtId="0" fontId="8" fillId="2" borderId="1" xfId="0" applyFont="1" applyFill="1" applyBorder="1" applyAlignment="1" applyProtection="1">
      <alignment horizontal="centerContinuous" vertical="center" wrapText="1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5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14" xfId="0" applyFont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17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3" fontId="14" fillId="0" borderId="0" xfId="0" applyNumberFormat="1" applyFont="1"/>
    <xf numFmtId="0" fontId="5" fillId="0" borderId="0" xfId="0" applyFont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3" fontId="15" fillId="6" borderId="0" xfId="0" applyNumberFormat="1" applyFont="1" applyFill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13" fillId="7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5" fillId="5" borderId="15" xfId="0" applyNumberFormat="1" applyFont="1" applyFill="1" applyBorder="1" applyAlignment="1">
      <alignment horizontal="right" wrapText="1"/>
    </xf>
    <xf numFmtId="3" fontId="5" fillId="5" borderId="16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10" fillId="3" borderId="19" xfId="0" applyNumberFormat="1" applyFont="1" applyFill="1" applyBorder="1" applyAlignment="1">
      <alignment horizontal="right"/>
    </xf>
    <xf numFmtId="3" fontId="10" fillId="3" borderId="20" xfId="0" applyNumberFormat="1" applyFont="1" applyFill="1" applyBorder="1" applyAlignment="1">
      <alignment horizontal="right"/>
    </xf>
    <xf numFmtId="3" fontId="10" fillId="3" borderId="21" xfId="0" applyNumberFormat="1" applyFont="1" applyFill="1" applyBorder="1" applyAlignment="1">
      <alignment horizontal="right"/>
    </xf>
    <xf numFmtId="3" fontId="5" fillId="8" borderId="22" xfId="0" applyNumberFormat="1" applyFont="1" applyFill="1" applyBorder="1" applyAlignment="1">
      <alignment horizontal="centerContinuous"/>
    </xf>
    <xf numFmtId="3" fontId="5" fillId="8" borderId="23" xfId="0" applyNumberFormat="1" applyFont="1" applyFill="1" applyBorder="1" applyAlignment="1">
      <alignment horizontal="centerContinuous"/>
    </xf>
    <xf numFmtId="0" fontId="5" fillId="0" borderId="17" xfId="0" applyFont="1" applyBorder="1"/>
    <xf numFmtId="0" fontId="5" fillId="0" borderId="18" xfId="0" applyFont="1" applyBorder="1"/>
    <xf numFmtId="17" fontId="5" fillId="5" borderId="17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0" fontId="5" fillId="0" borderId="24" xfId="0" applyFont="1" applyBorder="1"/>
    <xf numFmtId="3" fontId="5" fillId="9" borderId="22" xfId="0" applyNumberFormat="1" applyFont="1" applyFill="1" applyBorder="1" applyAlignment="1">
      <alignment horizontal="centerContinuous"/>
    </xf>
    <xf numFmtId="14" fontId="5" fillId="3" borderId="17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right"/>
    </xf>
    <xf numFmtId="3" fontId="5" fillId="9" borderId="25" xfId="0" applyNumberFormat="1" applyFont="1" applyFill="1" applyBorder="1" applyAlignment="1">
      <alignment horizontal="centerContinuous"/>
    </xf>
    <xf numFmtId="3" fontId="5" fillId="3" borderId="26" xfId="0" applyNumberFormat="1" applyFont="1" applyFill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3" fontId="5" fillId="5" borderId="31" xfId="0" applyNumberFormat="1" applyFont="1" applyFill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3" fontId="10" fillId="3" borderId="32" xfId="0" applyNumberFormat="1" applyFont="1" applyFill="1" applyBorder="1" applyAlignment="1">
      <alignment horizontal="right"/>
    </xf>
    <xf numFmtId="3" fontId="15" fillId="6" borderId="11" xfId="0" applyNumberFormat="1" applyFont="1" applyFill="1" applyBorder="1" applyAlignment="1">
      <alignment horizontal="centerContinuous"/>
    </xf>
    <xf numFmtId="3" fontId="15" fillId="6" borderId="26" xfId="0" applyNumberFormat="1" applyFont="1" applyFill="1" applyBorder="1" applyAlignment="1">
      <alignment horizontal="centerContinuous"/>
    </xf>
    <xf numFmtId="0" fontId="1" fillId="10" borderId="33" xfId="0" applyFont="1" applyFill="1" applyBorder="1" applyAlignment="1">
      <alignment horizontal="centerContinuous" wrapText="1"/>
    </xf>
    <xf numFmtId="0" fontId="1" fillId="10" borderId="34" xfId="0" applyFont="1" applyFill="1" applyBorder="1" applyAlignment="1">
      <alignment horizontal="centerContinuous" wrapText="1"/>
    </xf>
    <xf numFmtId="0" fontId="1" fillId="10" borderId="35" xfId="0" applyFont="1" applyFill="1" applyBorder="1" applyAlignment="1">
      <alignment horizontal="centerContinuous" wrapText="1"/>
    </xf>
    <xf numFmtId="0" fontId="15" fillId="6" borderId="36" xfId="0" applyFont="1" applyFill="1" applyBorder="1" applyAlignment="1">
      <alignment wrapText="1"/>
    </xf>
    <xf numFmtId="3" fontId="15" fillId="6" borderId="3" xfId="0" applyNumberFormat="1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Continuous"/>
    </xf>
    <xf numFmtId="0" fontId="15" fillId="6" borderId="25" xfId="0" applyFont="1" applyFill="1" applyBorder="1" applyAlignment="1">
      <alignment horizontal="centerContinuous"/>
    </xf>
    <xf numFmtId="0" fontId="15" fillId="6" borderId="23" xfId="0" applyFont="1" applyFill="1" applyBorder="1" applyAlignment="1">
      <alignment horizontal="centerContinuous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44" xfId="0" applyNumberFormat="1" applyFont="1" applyFill="1" applyBorder="1" applyAlignment="1">
      <alignment horizontal="right"/>
    </xf>
    <xf numFmtId="3" fontId="10" fillId="5" borderId="21" xfId="0" applyNumberFormat="1" applyFont="1" applyFill="1" applyBorder="1"/>
    <xf numFmtId="3" fontId="5" fillId="0" borderId="45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 horizontal="right"/>
    </xf>
    <xf numFmtId="0" fontId="5" fillId="8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/>
    </xf>
    <xf numFmtId="0" fontId="5" fillId="0" borderId="53" xfId="0" applyFont="1" applyBorder="1"/>
    <xf numFmtId="0" fontId="16" fillId="0" borderId="5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7" fillId="6" borderId="55" xfId="0" applyFont="1" applyFill="1" applyBorder="1" applyAlignment="1">
      <alignment horizontal="centerContinuous"/>
    </xf>
    <xf numFmtId="0" fontId="17" fillId="6" borderId="56" xfId="0" applyFont="1" applyFill="1" applyBorder="1" applyAlignment="1">
      <alignment horizontal="centerContinuous"/>
    </xf>
    <xf numFmtId="3" fontId="17" fillId="6" borderId="56" xfId="0" applyNumberFormat="1" applyFont="1" applyFill="1" applyBorder="1" applyAlignment="1">
      <alignment horizontal="centerContinuous"/>
    </xf>
    <xf numFmtId="3" fontId="17" fillId="6" borderId="57" xfId="0" applyNumberFormat="1" applyFont="1" applyFill="1" applyBorder="1" applyAlignment="1">
      <alignment horizontal="centerContinuous"/>
    </xf>
    <xf numFmtId="0" fontId="18" fillId="10" borderId="55" xfId="0" applyFont="1" applyFill="1" applyBorder="1" applyAlignment="1">
      <alignment horizontal="centerContinuous"/>
    </xf>
    <xf numFmtId="0" fontId="18" fillId="10" borderId="56" xfId="0" applyFont="1" applyFill="1" applyBorder="1" applyAlignment="1">
      <alignment horizontal="centerContinuous"/>
    </xf>
    <xf numFmtId="0" fontId="18" fillId="10" borderId="57" xfId="0" applyFont="1" applyFill="1" applyBorder="1" applyAlignment="1">
      <alignment horizontal="centerContinuous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wrapText="1"/>
    </xf>
    <xf numFmtId="17" fontId="5" fillId="10" borderId="1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left" wrapText="1"/>
    </xf>
    <xf numFmtId="3" fontId="5" fillId="1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15" fillId="6" borderId="12" xfId="0" applyNumberFormat="1" applyFont="1" applyFill="1" applyBorder="1" applyAlignment="1">
      <alignment horizontal="centerContinuous"/>
    </xf>
    <xf numFmtId="3" fontId="15" fillId="6" borderId="5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/>
    </xf>
    <xf numFmtId="0" fontId="5" fillId="0" borderId="59" xfId="0" applyFont="1" applyBorder="1" applyAlignment="1">
      <alignment horizontal="left"/>
    </xf>
    <xf numFmtId="0" fontId="5" fillId="0" borderId="60" xfId="0" applyFont="1" applyBorder="1"/>
    <xf numFmtId="3" fontId="5" fillId="0" borderId="59" xfId="0" applyNumberFormat="1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5"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104775</xdr:rowOff>
    </xdr:from>
    <xdr:to>
      <xdr:col>6</xdr:col>
      <xdr:colOff>504825</xdr:colOff>
      <xdr:row>5</xdr:row>
      <xdr:rowOff>561975</xdr:rowOff>
    </xdr:to>
    <xdr:sp macro="" textlink="">
      <xdr:nvSpPr>
        <xdr:cNvPr id="2" name="CuadroTexto 1"/>
        <xdr:cNvSpPr txBox="1"/>
      </xdr:nvSpPr>
      <xdr:spPr>
        <a:xfrm>
          <a:off x="9686925" y="1095375"/>
          <a:ext cx="1657350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/>
            <a:t>COMPLETAR LAS CELDAS EN BLANCO</a:t>
          </a:r>
        </a:p>
      </xdr:txBody>
    </xdr:sp>
    <xdr:clientData/>
  </xdr:twoCellAnchor>
  <xdr:twoCellAnchor>
    <xdr:from>
      <xdr:col>4</xdr:col>
      <xdr:colOff>476250</xdr:colOff>
      <xdr:row>5</xdr:row>
      <xdr:rowOff>314325</xdr:rowOff>
    </xdr:from>
    <xdr:to>
      <xdr:col>4</xdr:col>
      <xdr:colOff>657225</xdr:colOff>
      <xdr:row>5</xdr:row>
      <xdr:rowOff>495300</xdr:rowOff>
    </xdr:to>
    <xdr:sp macro="" textlink="">
      <xdr:nvSpPr>
        <xdr:cNvPr id="3" name="Estrella de 5 puntas 2"/>
        <xdr:cNvSpPr/>
      </xdr:nvSpPr>
      <xdr:spPr>
        <a:xfrm>
          <a:off x="9791700" y="1304925"/>
          <a:ext cx="180975" cy="1809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133350</xdr:colOff>
      <xdr:row>2</xdr:row>
      <xdr:rowOff>104775</xdr:rowOff>
    </xdr:to>
    <xdr:sp macro="" textlink="">
      <xdr:nvSpPr>
        <xdr:cNvPr id="4" name="Estrella de 5 puntas 3"/>
        <xdr:cNvSpPr/>
      </xdr:nvSpPr>
      <xdr:spPr>
        <a:xfrm>
          <a:off x="2533650" y="34290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133350</xdr:colOff>
      <xdr:row>3</xdr:row>
      <xdr:rowOff>104775</xdr:rowOff>
    </xdr:to>
    <xdr:sp macro="" textlink="">
      <xdr:nvSpPr>
        <xdr:cNvPr id="6" name="Estrella de 5 puntas 5"/>
        <xdr:cNvSpPr/>
      </xdr:nvSpPr>
      <xdr:spPr>
        <a:xfrm>
          <a:off x="2533650" y="504825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133350</xdr:colOff>
      <xdr:row>4</xdr:row>
      <xdr:rowOff>104775</xdr:rowOff>
    </xdr:to>
    <xdr:sp macro="" textlink="">
      <xdr:nvSpPr>
        <xdr:cNvPr id="7" name="Estrella de 5 puntas 6"/>
        <xdr:cNvSpPr/>
      </xdr:nvSpPr>
      <xdr:spPr>
        <a:xfrm>
          <a:off x="7277100" y="66675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133350</xdr:colOff>
      <xdr:row>5</xdr:row>
      <xdr:rowOff>104775</xdr:rowOff>
    </xdr:to>
    <xdr:sp macro="" textlink="">
      <xdr:nvSpPr>
        <xdr:cNvPr id="8" name="Estrella de 5 puntas 7"/>
        <xdr:cNvSpPr/>
      </xdr:nvSpPr>
      <xdr:spPr>
        <a:xfrm>
          <a:off x="7277100" y="99060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133350</xdr:colOff>
      <xdr:row>7</xdr:row>
      <xdr:rowOff>104775</xdr:rowOff>
    </xdr:to>
    <xdr:sp macro="" textlink="">
      <xdr:nvSpPr>
        <xdr:cNvPr id="9" name="Estrella de 5 puntas 8"/>
        <xdr:cNvSpPr/>
      </xdr:nvSpPr>
      <xdr:spPr>
        <a:xfrm>
          <a:off x="7277100" y="2028825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133350</xdr:colOff>
      <xdr:row>8</xdr:row>
      <xdr:rowOff>104775</xdr:rowOff>
    </xdr:to>
    <xdr:sp macro="" textlink="">
      <xdr:nvSpPr>
        <xdr:cNvPr id="10" name="Estrella de 5 puntas 9"/>
        <xdr:cNvSpPr/>
      </xdr:nvSpPr>
      <xdr:spPr>
        <a:xfrm>
          <a:off x="7277100" y="222885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133350</xdr:colOff>
      <xdr:row>9</xdr:row>
      <xdr:rowOff>104775</xdr:rowOff>
    </xdr:to>
    <xdr:sp macro="" textlink="">
      <xdr:nvSpPr>
        <xdr:cNvPr id="11" name="Estrella de 5 puntas 10"/>
        <xdr:cNvSpPr/>
      </xdr:nvSpPr>
      <xdr:spPr>
        <a:xfrm>
          <a:off x="8029575" y="2543175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133350</xdr:colOff>
      <xdr:row>10</xdr:row>
      <xdr:rowOff>104775</xdr:rowOff>
    </xdr:to>
    <xdr:sp macro="" textlink="">
      <xdr:nvSpPr>
        <xdr:cNvPr id="12" name="Estrella de 5 puntas 11"/>
        <xdr:cNvSpPr/>
      </xdr:nvSpPr>
      <xdr:spPr>
        <a:xfrm>
          <a:off x="8029575" y="270510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133350</xdr:colOff>
      <xdr:row>6</xdr:row>
      <xdr:rowOff>104775</xdr:rowOff>
    </xdr:to>
    <xdr:sp macro="" textlink="">
      <xdr:nvSpPr>
        <xdr:cNvPr id="14" name="Estrella de 5 puntas 13"/>
        <xdr:cNvSpPr/>
      </xdr:nvSpPr>
      <xdr:spPr>
        <a:xfrm>
          <a:off x="7277100" y="186690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sp macro="" textlink="">
      <xdr:nvSpPr>
        <xdr:cNvPr id="15" name="Estrella de 5 puntas 14"/>
        <xdr:cNvSpPr/>
      </xdr:nvSpPr>
      <xdr:spPr>
        <a:xfrm>
          <a:off x="2533650" y="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133350</xdr:colOff>
      <xdr:row>0</xdr:row>
      <xdr:rowOff>104775</xdr:rowOff>
    </xdr:to>
    <xdr:sp macro="" textlink="">
      <xdr:nvSpPr>
        <xdr:cNvPr id="16" name="Estrella de 5 puntas 15"/>
        <xdr:cNvSpPr/>
      </xdr:nvSpPr>
      <xdr:spPr>
        <a:xfrm>
          <a:off x="8029575" y="0"/>
          <a:ext cx="133350" cy="1047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A4" totalsRowShown="0" headerRowDxfId="11" dataDxfId="10">
  <autoFilter ref="A1:A4"/>
  <tableColumns count="1">
    <tableColumn id="1" name="Tipo de estudio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6:A8" totalsRowShown="0" headerRowDxfId="8" dataDxfId="7">
  <autoFilter ref="A6:A8"/>
  <tableColumns count="1">
    <tableColumn id="1" name="Tipo de beca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:C3" totalsRowShown="0" headerRowDxfId="5" dataDxfId="4">
  <autoFilter ref="C1:C3"/>
  <tableColumns count="1">
    <tableColumn id="1" name="Concepto de pago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C6:C8" totalsRowShown="0" headerRowDxfId="2" dataDxfId="1">
  <autoFilter ref="C6:C8"/>
  <tableColumns count="1">
    <tableColumn id="1" name="¿Matriculado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F19"/>
  <sheetViews>
    <sheetView showGridLines="0" view="pageBreakPreview" zoomScale="60" workbookViewId="0" topLeftCell="A1">
      <selection activeCell="F15" sqref="F15"/>
    </sheetView>
  </sheetViews>
  <sheetFormatPr defaultColWidth="11.421875" defaultRowHeight="15"/>
  <cols>
    <col min="1" max="1" width="38.00390625" style="8" customWidth="1"/>
    <col min="2" max="2" width="71.140625" style="8" customWidth="1"/>
    <col min="3" max="3" width="11.28125" style="8" customWidth="1"/>
    <col min="4" max="4" width="19.28125" style="1" customWidth="1"/>
    <col min="5" max="28" width="11.421875" style="1" customWidth="1"/>
    <col min="29" max="29" width="12.00390625" style="1" customWidth="1"/>
    <col min="30" max="16384" width="11.421875" style="1" customWidth="1"/>
  </cols>
  <sheetData>
    <row r="1" spans="1:4" ht="13.5" thickBot="1">
      <c r="A1" s="40" t="s">
        <v>0</v>
      </c>
      <c r="B1" s="28"/>
      <c r="C1" s="40" t="s">
        <v>1</v>
      </c>
      <c r="D1" s="28"/>
    </row>
    <row r="2" spans="1:4" ht="13.5" thickBot="1">
      <c r="A2" s="20" t="s">
        <v>2</v>
      </c>
      <c r="B2" s="21" t="s">
        <v>3</v>
      </c>
      <c r="C2" s="21" t="s">
        <v>4</v>
      </c>
      <c r="D2" s="22" t="s">
        <v>5</v>
      </c>
    </row>
    <row r="3" spans="1:4" ht="13">
      <c r="A3" s="17" t="s">
        <v>6</v>
      </c>
      <c r="B3" s="18" t="s">
        <v>7</v>
      </c>
      <c r="C3" s="17"/>
      <c r="D3" s="19"/>
    </row>
    <row r="4" spans="1:5" ht="13">
      <c r="A4" s="13" t="s">
        <v>8</v>
      </c>
      <c r="B4" s="3" t="s">
        <v>9</v>
      </c>
      <c r="C4" s="16" t="str">
        <f>CONCATENATE(LEFT(B3,4),"-",LEFT(B4,4))</f>
        <v>Técn-Parc</v>
      </c>
      <c r="D4" s="10"/>
      <c r="E4" s="4"/>
    </row>
    <row r="5" spans="1:4" ht="26">
      <c r="A5" s="13" t="s">
        <v>10</v>
      </c>
      <c r="B5" s="14" t="s">
        <v>11</v>
      </c>
      <c r="C5" s="2">
        <v>6</v>
      </c>
      <c r="D5" s="10"/>
    </row>
    <row r="6" spans="1:4" ht="69" customHeight="1">
      <c r="A6" s="13" t="s">
        <v>12</v>
      </c>
      <c r="B6" s="14" t="s">
        <v>13</v>
      </c>
      <c r="C6" s="2">
        <v>2</v>
      </c>
      <c r="D6" s="10"/>
    </row>
    <row r="7" spans="1:4" ht="13">
      <c r="A7" s="13" t="s">
        <v>14</v>
      </c>
      <c r="B7" s="14" t="s">
        <v>15</v>
      </c>
      <c r="C7" s="2" t="s">
        <v>16</v>
      </c>
      <c r="D7" s="10"/>
    </row>
    <row r="8" spans="1:6" ht="15.75" customHeight="1">
      <c r="A8" s="13" t="s">
        <v>17</v>
      </c>
      <c r="B8" s="15" t="s">
        <v>18</v>
      </c>
      <c r="C8" s="5">
        <v>0</v>
      </c>
      <c r="D8" s="10"/>
      <c r="F8" s="1" t="s">
        <v>83</v>
      </c>
    </row>
    <row r="9" spans="1:4" ht="25">
      <c r="A9" s="13" t="s">
        <v>19</v>
      </c>
      <c r="B9" s="14" t="s">
        <v>20</v>
      </c>
      <c r="C9" s="2">
        <v>4</v>
      </c>
      <c r="D9" s="10"/>
    </row>
    <row r="10" spans="1:4" s="7" customFormat="1" ht="13">
      <c r="A10" s="13" t="s">
        <v>21</v>
      </c>
      <c r="B10" s="14" t="s">
        <v>22</v>
      </c>
      <c r="C10" s="16" t="s">
        <v>23</v>
      </c>
      <c r="D10" s="6">
        <v>500</v>
      </c>
    </row>
    <row r="11" spans="1:4" ht="25">
      <c r="A11" s="13" t="s">
        <v>24</v>
      </c>
      <c r="B11" s="14" t="s">
        <v>25</v>
      </c>
      <c r="C11" s="16" t="s">
        <v>26</v>
      </c>
      <c r="D11" s="6">
        <v>900</v>
      </c>
    </row>
    <row r="12" spans="1:4" ht="12.75" customHeight="1">
      <c r="A12" s="41" t="s">
        <v>27</v>
      </c>
      <c r="B12" s="43"/>
      <c r="C12" s="9">
        <f>IF(C7="NO",C5-C6+1,C5-C6)</f>
        <v>5</v>
      </c>
      <c r="D12" s="10">
        <f>C12*D10</f>
        <v>2500</v>
      </c>
    </row>
    <row r="13" spans="1:4" ht="13.5" customHeight="1" thickBot="1">
      <c r="A13" s="41" t="s">
        <v>28</v>
      </c>
      <c r="B13" s="43"/>
      <c r="C13" s="11">
        <f>(C9-C8)+(C5-C6)*C9</f>
        <v>20</v>
      </c>
      <c r="D13" s="12">
        <f>C13*D11</f>
        <v>18000</v>
      </c>
    </row>
    <row r="14" spans="1:4" ht="13.5" thickBot="1">
      <c r="A14" s="20" t="s">
        <v>29</v>
      </c>
      <c r="B14" s="23" t="s">
        <v>30</v>
      </c>
      <c r="C14" s="21"/>
      <c r="D14" s="24">
        <f>SUM(D12:D13)</f>
        <v>20500</v>
      </c>
    </row>
    <row r="15" spans="1:4" ht="5.25" customHeight="1" thickBot="1">
      <c r="A15" s="42"/>
      <c r="B15" s="42"/>
      <c r="C15" s="42"/>
      <c r="D15" s="45"/>
    </row>
    <row r="16" spans="1:4" ht="13.5" thickBot="1">
      <c r="A16" s="42"/>
      <c r="B16" s="25" t="s">
        <v>31</v>
      </c>
      <c r="C16" s="26"/>
      <c r="D16" s="27"/>
    </row>
    <row r="17" spans="1:4" ht="12.75" customHeight="1" hidden="1">
      <c r="A17" s="42"/>
      <c r="B17" s="44" t="s">
        <v>32</v>
      </c>
      <c r="C17" s="44"/>
      <c r="D17" s="19">
        <f>VLOOKUP(C4,DATOS!A11:C17,3,FALSE)</f>
        <v>14000</v>
      </c>
    </row>
    <row r="18" spans="1:4" ht="13">
      <c r="A18" s="42"/>
      <c r="B18" s="44" t="s">
        <v>33</v>
      </c>
      <c r="C18" s="44"/>
      <c r="D18" s="19">
        <f>IF(D17="NO EXISTE","NO SE FINANCIA",IF(D14&gt;D17,D17,D14))</f>
        <v>14000</v>
      </c>
    </row>
    <row r="19" spans="1:4" ht="13">
      <c r="A19" s="42"/>
      <c r="B19" s="44" t="s">
        <v>34</v>
      </c>
      <c r="C19" s="44"/>
      <c r="D19" s="19">
        <f>IF(D17="NO EXISTE","---",D14-D18)</f>
        <v>6500</v>
      </c>
    </row>
  </sheetData>
  <sheetProtection algorithmName="SHA-512" hashValue="4Z9zo4HjJXjUvYKXwgi6NQIMwFWzvOmMn60CsRhtrg7s3JahBGmXsrdhFmEYgn+K6IOCa6WGCs73Oqbu+yckjQ==" saltValue="XZ6jfCxKczBAtmjof81XXw==" spinCount="100000" sheet="1" objects="1" scenarios="1"/>
  <conditionalFormatting sqref="D16">
    <cfRule type="cellIs" priority="1" dxfId="14" operator="equal">
      <formula>"NO PROCEDE"</formula>
    </cfRule>
  </conditionalFormatting>
  <dataValidations count="3">
    <dataValidation type="list" allowBlank="1" showInputMessage="1" showErrorMessage="1" promptTitle="Elije tu tipo de estudio" sqref="B3">
      <formula1>DATOS!$A$2:$A$4</formula1>
    </dataValidation>
    <dataValidation type="list" allowBlank="1" showInputMessage="1" showErrorMessage="1" sqref="B4">
      <formula1>DATOS!$A$7:$A$8</formula1>
    </dataValidation>
    <dataValidation type="list" allowBlank="1" showInputMessage="1" showErrorMessage="1" sqref="C7">
      <formula1>DATOS!$C$7:$C$8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49"/>
  <sheetViews>
    <sheetView showGridLines="0" tabSelected="1" view="pageBreakPreview" zoomScale="60" workbookViewId="0" topLeftCell="A1">
      <pane xSplit="3" ySplit="9" topLeftCell="D10" activePane="bottomRight" state="frozen"/>
      <selection pane="topRight" activeCell="E10" sqref="E10"/>
      <selection pane="bottomLeft" activeCell="E10" sqref="E10"/>
      <selection pane="bottomRight" activeCell="AJ23" sqref="AJ23"/>
    </sheetView>
  </sheetViews>
  <sheetFormatPr defaultColWidth="11.421875" defaultRowHeight="15"/>
  <cols>
    <col min="1" max="1" width="3.28125" style="29" bestFit="1" customWidth="1"/>
    <col min="2" max="2" width="11.57421875" style="29" bestFit="1" customWidth="1"/>
    <col min="3" max="3" width="21.421875" style="29" customWidth="1"/>
    <col min="4" max="4" width="22.8515625" style="31" customWidth="1"/>
    <col min="5" max="5" width="23.140625" style="31" customWidth="1"/>
    <col min="6" max="6" width="11.57421875" style="32" bestFit="1" customWidth="1"/>
    <col min="7" max="8" width="15.57421875" style="32" customWidth="1"/>
    <col min="9" max="9" width="2.421875" style="31" customWidth="1"/>
    <col min="10" max="13" width="10.421875" style="31" hidden="1" customWidth="1"/>
    <col min="14" max="14" width="17.140625" style="31" hidden="1" customWidth="1"/>
    <col min="15" max="15" width="22.57421875" style="31" hidden="1" customWidth="1"/>
    <col min="16" max="16" width="12.140625" style="31" hidden="1" customWidth="1"/>
    <col min="17" max="17" width="15.00390625" style="31" hidden="1" customWidth="1"/>
    <col min="18" max="18" width="9.421875" style="31" hidden="1" customWidth="1"/>
    <col min="19" max="23" width="11.421875" style="31" hidden="1" customWidth="1"/>
    <col min="24" max="16384" width="11.421875" style="31" customWidth="1"/>
  </cols>
  <sheetData>
    <row r="1" ht="13">
      <c r="B1" s="30"/>
    </row>
    <row r="2" spans="3:8" ht="13">
      <c r="C2" s="51" t="str">
        <f>'Cálculo del monto a financiar'!A1</f>
        <v>NOMBRE COMPLETO:</v>
      </c>
      <c r="D2" s="150">
        <f>'Cálculo del monto a financiar'!B1</f>
        <v>0</v>
      </c>
      <c r="E2" s="151"/>
      <c r="F2" s="31"/>
      <c r="G2" s="30"/>
      <c r="H2" s="31"/>
    </row>
    <row r="3" spans="3:5" ht="15">
      <c r="C3" s="51" t="str">
        <f>'Cálculo del monto a financiar'!C1</f>
        <v>DNI:</v>
      </c>
      <c r="D3" s="152">
        <f>'Cálculo del monto a financiar'!D1</f>
        <v>0</v>
      </c>
      <c r="E3" s="151"/>
    </row>
    <row r="4" spans="3:8" ht="13">
      <c r="C4" s="51" t="s">
        <v>31</v>
      </c>
      <c r="D4" s="150" t="str">
        <f>IF(F39='Cálculo del monto a financiar'!D14,"CORRECTO","REVISE. COSTO TOTAL NO COINCIDE")</f>
        <v>CORRECTO</v>
      </c>
      <c r="E4" s="151"/>
      <c r="H4" s="56"/>
    </row>
    <row r="5" spans="3:8" ht="13">
      <c r="C5" s="31"/>
      <c r="D5" s="133"/>
      <c r="H5" s="56"/>
    </row>
    <row r="6" spans="1:23" ht="14">
      <c r="A6" s="134" t="s">
        <v>35</v>
      </c>
      <c r="B6" s="135"/>
      <c r="C6" s="135"/>
      <c r="D6" s="135"/>
      <c r="E6" s="135"/>
      <c r="F6" s="136"/>
      <c r="G6" s="136"/>
      <c r="H6" s="137"/>
      <c r="J6" s="138" t="s">
        <v>36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</row>
    <row r="7" spans="3:8" ht="13.5" thickBot="1">
      <c r="C7" s="31"/>
      <c r="D7" s="133"/>
      <c r="H7" s="56"/>
    </row>
    <row r="8" spans="3:23" ht="15">
      <c r="C8" s="33"/>
      <c r="D8" s="34"/>
      <c r="E8" s="34"/>
      <c r="F8" s="96" t="s">
        <v>37</v>
      </c>
      <c r="G8" s="97"/>
      <c r="H8" s="147"/>
      <c r="J8" s="98" t="s">
        <v>38</v>
      </c>
      <c r="K8" s="99"/>
      <c r="L8" s="100"/>
      <c r="M8" s="101"/>
      <c r="N8" s="77" t="s">
        <v>39</v>
      </c>
      <c r="O8" s="78"/>
      <c r="P8" s="84" t="s">
        <v>40</v>
      </c>
      <c r="Q8" s="87"/>
      <c r="R8" s="87"/>
      <c r="S8" s="109" t="s">
        <v>41</v>
      </c>
      <c r="T8" s="110"/>
      <c r="U8" s="110"/>
      <c r="V8" s="110"/>
      <c r="W8" s="111"/>
    </row>
    <row r="9" spans="1:23" s="57" customFormat="1" ht="37.5">
      <c r="A9" s="58" t="s">
        <v>42</v>
      </c>
      <c r="B9" s="59" t="s">
        <v>43</v>
      </c>
      <c r="C9" s="59" t="s">
        <v>44</v>
      </c>
      <c r="D9" s="59" t="s">
        <v>45</v>
      </c>
      <c r="E9" s="59" t="s">
        <v>2</v>
      </c>
      <c r="F9" s="102" t="s">
        <v>46</v>
      </c>
      <c r="G9" s="60" t="s">
        <v>47</v>
      </c>
      <c r="H9" s="148" t="s">
        <v>48</v>
      </c>
      <c r="J9" s="103" t="s">
        <v>49</v>
      </c>
      <c r="K9" s="104" t="s">
        <v>50</v>
      </c>
      <c r="L9" s="105" t="s">
        <v>51</v>
      </c>
      <c r="M9" s="106" t="s">
        <v>52</v>
      </c>
      <c r="N9" s="128" t="s">
        <v>53</v>
      </c>
      <c r="O9" s="129" t="s">
        <v>54</v>
      </c>
      <c r="P9" s="91" t="s">
        <v>53</v>
      </c>
      <c r="Q9" s="92" t="s">
        <v>55</v>
      </c>
      <c r="R9" s="107" t="s">
        <v>56</v>
      </c>
      <c r="S9" s="112" t="s">
        <v>57</v>
      </c>
      <c r="T9" s="108" t="s">
        <v>49</v>
      </c>
      <c r="U9" s="108" t="s">
        <v>58</v>
      </c>
      <c r="V9" s="108" t="s">
        <v>59</v>
      </c>
      <c r="W9" s="113" t="s">
        <v>60</v>
      </c>
    </row>
    <row r="10" spans="1:23" ht="15">
      <c r="A10" s="52">
        <v>1</v>
      </c>
      <c r="B10" s="53">
        <f>'Cálculo del monto a financiar'!C6</f>
        <v>2</v>
      </c>
      <c r="C10" s="53">
        <v>0</v>
      </c>
      <c r="D10" s="54">
        <v>44713</v>
      </c>
      <c r="E10" s="55" t="s">
        <v>23</v>
      </c>
      <c r="F10" s="61">
        <f>VLOOKUP(E10,'Cálculo del monto a financiar'!$C$2:$D$13,2,FALSE)</f>
        <v>500</v>
      </c>
      <c r="G10" s="61"/>
      <c r="H10" s="61">
        <f>F10</f>
        <v>500</v>
      </c>
      <c r="J10" s="68">
        <v>125</v>
      </c>
      <c r="K10" s="62"/>
      <c r="L10" s="69"/>
      <c r="M10" s="93">
        <f>SUM(H10:L10)</f>
        <v>625</v>
      </c>
      <c r="N10" s="79"/>
      <c r="O10" s="80"/>
      <c r="P10" s="79"/>
      <c r="S10" s="119"/>
      <c r="T10" s="120"/>
      <c r="U10" s="120"/>
      <c r="V10" s="120"/>
      <c r="W10" s="121"/>
    </row>
    <row r="11" spans="1:23" ht="15">
      <c r="A11" s="52">
        <f>A10+1</f>
        <v>2</v>
      </c>
      <c r="B11" s="53">
        <f>B10</f>
        <v>2</v>
      </c>
      <c r="C11" s="53">
        <v>1</v>
      </c>
      <c r="D11" s="54">
        <v>44713</v>
      </c>
      <c r="E11" s="55" t="s">
        <v>26</v>
      </c>
      <c r="F11" s="61">
        <f>VLOOKUP(E11,'Cálculo del monto a financiar'!$C$2:$D$13,2,FALSE)</f>
        <v>900</v>
      </c>
      <c r="G11" s="61"/>
      <c r="H11" s="61">
        <f aca="true" t="shared" si="0" ref="H11:H26">F11</f>
        <v>900</v>
      </c>
      <c r="J11" s="68"/>
      <c r="K11" s="62"/>
      <c r="L11" s="69"/>
      <c r="M11" s="93">
        <f aca="true" t="shared" si="1" ref="M11:M36">SUM(H11:L11)</f>
        <v>900</v>
      </c>
      <c r="N11" s="79"/>
      <c r="O11" s="80"/>
      <c r="P11" s="79"/>
      <c r="Q11" s="65"/>
      <c r="R11" s="65"/>
      <c r="S11" s="122"/>
      <c r="T11" s="123"/>
      <c r="U11" s="123"/>
      <c r="V11" s="123"/>
      <c r="W11" s="124"/>
    </row>
    <row r="12" spans="1:23" ht="15">
      <c r="A12" s="52">
        <f aca="true" t="shared" si="2" ref="A12:A19">A11+1</f>
        <v>3</v>
      </c>
      <c r="B12" s="53">
        <f aca="true" t="shared" si="3" ref="B12:B14">B11</f>
        <v>2</v>
      </c>
      <c r="C12" s="53">
        <v>2</v>
      </c>
      <c r="D12" s="54">
        <v>44743</v>
      </c>
      <c r="E12" s="55" t="s">
        <v>26</v>
      </c>
      <c r="F12" s="61">
        <f>VLOOKUP(E12,'Cálculo del monto a financiar'!$C$2:$D$13,2,FALSE)</f>
        <v>900</v>
      </c>
      <c r="G12" s="61"/>
      <c r="H12" s="61">
        <f t="shared" si="0"/>
        <v>900</v>
      </c>
      <c r="J12" s="68"/>
      <c r="K12" s="62"/>
      <c r="L12" s="69"/>
      <c r="M12" s="93">
        <f t="shared" si="1"/>
        <v>900</v>
      </c>
      <c r="N12" s="79"/>
      <c r="O12" s="80"/>
      <c r="P12" s="79"/>
      <c r="Q12" s="65"/>
      <c r="R12" s="65"/>
      <c r="S12" s="122"/>
      <c r="T12" s="123"/>
      <c r="U12" s="123"/>
      <c r="V12" s="123"/>
      <c r="W12" s="124"/>
    </row>
    <row r="13" spans="1:23" ht="15">
      <c r="A13" s="52">
        <f t="shared" si="2"/>
        <v>4</v>
      </c>
      <c r="B13" s="53">
        <f t="shared" si="3"/>
        <v>2</v>
      </c>
      <c r="C13" s="53">
        <v>3</v>
      </c>
      <c r="D13" s="54">
        <v>44774</v>
      </c>
      <c r="E13" s="55" t="s">
        <v>26</v>
      </c>
      <c r="F13" s="61">
        <f>VLOOKUP(E13,'Cálculo del monto a financiar'!$C$2:$D$13,2,FALSE)</f>
        <v>900</v>
      </c>
      <c r="G13" s="61"/>
      <c r="H13" s="61">
        <f t="shared" si="0"/>
        <v>900</v>
      </c>
      <c r="J13" s="68"/>
      <c r="K13" s="62"/>
      <c r="L13" s="69"/>
      <c r="M13" s="93">
        <f t="shared" si="1"/>
        <v>900</v>
      </c>
      <c r="N13" s="79"/>
      <c r="O13" s="80"/>
      <c r="P13" s="79"/>
      <c r="Q13" s="65"/>
      <c r="R13" s="65"/>
      <c r="S13" s="122"/>
      <c r="T13" s="123"/>
      <c r="U13" s="123"/>
      <c r="V13" s="123"/>
      <c r="W13" s="124"/>
    </row>
    <row r="14" spans="1:23" ht="15">
      <c r="A14" s="52">
        <f t="shared" si="2"/>
        <v>5</v>
      </c>
      <c r="B14" s="53">
        <f t="shared" si="3"/>
        <v>2</v>
      </c>
      <c r="C14" s="53">
        <v>4</v>
      </c>
      <c r="D14" s="54">
        <v>44805</v>
      </c>
      <c r="E14" s="55" t="s">
        <v>26</v>
      </c>
      <c r="F14" s="61">
        <f>VLOOKUP(E14,'Cálculo del monto a financiar'!$C$2:$D$13,2,FALSE)</f>
        <v>900</v>
      </c>
      <c r="G14" s="61"/>
      <c r="H14" s="61">
        <f t="shared" si="0"/>
        <v>900</v>
      </c>
      <c r="J14" s="68"/>
      <c r="K14" s="62"/>
      <c r="L14" s="69"/>
      <c r="M14" s="93">
        <f t="shared" si="1"/>
        <v>900</v>
      </c>
      <c r="N14" s="81">
        <f>D10</f>
        <v>44713</v>
      </c>
      <c r="O14" s="82">
        <f>SUM(H10:H14)</f>
        <v>4100</v>
      </c>
      <c r="P14" s="85">
        <v>44718</v>
      </c>
      <c r="Q14" s="88">
        <v>6000</v>
      </c>
      <c r="R14" s="86">
        <v>15</v>
      </c>
      <c r="S14" s="122"/>
      <c r="T14" s="123"/>
      <c r="U14" s="123"/>
      <c r="V14" s="123"/>
      <c r="W14" s="124"/>
    </row>
    <row r="15" spans="1:23" ht="15">
      <c r="A15" s="35">
        <f t="shared" si="2"/>
        <v>6</v>
      </c>
      <c r="B15" s="36">
        <v>3</v>
      </c>
      <c r="C15" s="36">
        <v>0</v>
      </c>
      <c r="D15" s="37">
        <v>44835</v>
      </c>
      <c r="E15" s="38" t="s">
        <v>23</v>
      </c>
      <c r="F15" s="63">
        <f>VLOOKUP(E15,'Cálculo del monto a financiar'!$C$2:$D$13,2,FALSE)</f>
        <v>500</v>
      </c>
      <c r="G15" s="63"/>
      <c r="H15" s="63">
        <f t="shared" si="0"/>
        <v>500</v>
      </c>
      <c r="J15" s="70">
        <v>125</v>
      </c>
      <c r="K15" s="64"/>
      <c r="L15" s="71"/>
      <c r="M15" s="94">
        <f t="shared" si="1"/>
        <v>625</v>
      </c>
      <c r="N15" s="79"/>
      <c r="O15" s="80"/>
      <c r="P15" s="79"/>
      <c r="Q15" s="89"/>
      <c r="R15" s="65"/>
      <c r="S15" s="122"/>
      <c r="T15" s="123"/>
      <c r="U15" s="123"/>
      <c r="V15" s="123"/>
      <c r="W15" s="124"/>
    </row>
    <row r="16" spans="1:23" ht="15">
      <c r="A16" s="35">
        <f t="shared" si="2"/>
        <v>7</v>
      </c>
      <c r="B16" s="36">
        <v>3</v>
      </c>
      <c r="C16" s="36">
        <v>1</v>
      </c>
      <c r="D16" s="37">
        <v>44835</v>
      </c>
      <c r="E16" s="38" t="s">
        <v>26</v>
      </c>
      <c r="F16" s="63">
        <f>VLOOKUP(E16,'Cálculo del monto a financiar'!$C$2:$D$13,2,FALSE)</f>
        <v>900</v>
      </c>
      <c r="G16" s="63"/>
      <c r="H16" s="63">
        <f t="shared" si="0"/>
        <v>900</v>
      </c>
      <c r="J16" s="70"/>
      <c r="K16" s="64"/>
      <c r="L16" s="71"/>
      <c r="M16" s="94">
        <f t="shared" si="1"/>
        <v>900</v>
      </c>
      <c r="N16" s="79"/>
      <c r="O16" s="80"/>
      <c r="P16" s="79"/>
      <c r="Q16" s="65"/>
      <c r="R16" s="65"/>
      <c r="S16" s="122"/>
      <c r="T16" s="123"/>
      <c r="U16" s="123"/>
      <c r="V16" s="123"/>
      <c r="W16" s="124"/>
    </row>
    <row r="17" spans="1:23" ht="15">
      <c r="A17" s="35">
        <f t="shared" si="2"/>
        <v>8</v>
      </c>
      <c r="B17" s="36">
        <v>3</v>
      </c>
      <c r="C17" s="36">
        <v>2</v>
      </c>
      <c r="D17" s="37">
        <v>44866</v>
      </c>
      <c r="E17" s="38" t="s">
        <v>26</v>
      </c>
      <c r="F17" s="63">
        <f>VLOOKUP(E17,'Cálculo del monto a financiar'!$C$2:$D$13,2,FALSE)</f>
        <v>900</v>
      </c>
      <c r="G17" s="63"/>
      <c r="H17" s="63">
        <f t="shared" si="0"/>
        <v>900</v>
      </c>
      <c r="J17" s="70"/>
      <c r="K17" s="64"/>
      <c r="L17" s="71"/>
      <c r="M17" s="94">
        <f t="shared" si="1"/>
        <v>900</v>
      </c>
      <c r="N17" s="79"/>
      <c r="O17" s="80"/>
      <c r="P17" s="79"/>
      <c r="Q17" s="65"/>
      <c r="R17" s="65"/>
      <c r="S17" s="122"/>
      <c r="T17" s="123"/>
      <c r="U17" s="123"/>
      <c r="V17" s="123"/>
      <c r="W17" s="124"/>
    </row>
    <row r="18" spans="1:23" ht="15">
      <c r="A18" s="35">
        <f t="shared" si="2"/>
        <v>9</v>
      </c>
      <c r="B18" s="36">
        <v>3</v>
      </c>
      <c r="C18" s="36">
        <v>3</v>
      </c>
      <c r="D18" s="37">
        <v>44896</v>
      </c>
      <c r="E18" s="38" t="s">
        <v>26</v>
      </c>
      <c r="F18" s="63">
        <f>VLOOKUP(E18,'Cálculo del monto a financiar'!$C$2:$D$13,2,FALSE)</f>
        <v>900</v>
      </c>
      <c r="G18" s="63"/>
      <c r="H18" s="63">
        <f t="shared" si="0"/>
        <v>900</v>
      </c>
      <c r="J18" s="70"/>
      <c r="K18" s="64"/>
      <c r="L18" s="71"/>
      <c r="M18" s="94">
        <f t="shared" si="1"/>
        <v>900</v>
      </c>
      <c r="N18" s="79"/>
      <c r="O18" s="80"/>
      <c r="P18" s="79"/>
      <c r="Q18" s="65"/>
      <c r="R18" s="65"/>
      <c r="S18" s="122"/>
      <c r="T18" s="123"/>
      <c r="U18" s="123"/>
      <c r="V18" s="123"/>
      <c r="W18" s="124"/>
    </row>
    <row r="19" spans="1:23" ht="15">
      <c r="A19" s="35">
        <f t="shared" si="2"/>
        <v>10</v>
      </c>
      <c r="B19" s="36">
        <v>3</v>
      </c>
      <c r="C19" s="36">
        <v>4</v>
      </c>
      <c r="D19" s="37">
        <v>44927</v>
      </c>
      <c r="E19" s="38" t="s">
        <v>26</v>
      </c>
      <c r="F19" s="63">
        <f>VLOOKUP(E19,'Cálculo del monto a financiar'!$C$2:$D$13,2,FALSE)</f>
        <v>900</v>
      </c>
      <c r="G19" s="63"/>
      <c r="H19" s="63">
        <f t="shared" si="0"/>
        <v>900</v>
      </c>
      <c r="J19" s="70"/>
      <c r="K19" s="64"/>
      <c r="L19" s="71"/>
      <c r="M19" s="94">
        <f t="shared" si="1"/>
        <v>900</v>
      </c>
      <c r="N19" s="81">
        <f>D15</f>
        <v>44835</v>
      </c>
      <c r="O19" s="82">
        <f>SUM(H15:H19)</f>
        <v>4100</v>
      </c>
      <c r="P19" s="79"/>
      <c r="Q19" s="65"/>
      <c r="R19" s="65"/>
      <c r="S19" s="122"/>
      <c r="T19" s="123"/>
      <c r="U19" s="123"/>
      <c r="V19" s="123"/>
      <c r="W19" s="124"/>
    </row>
    <row r="20" spans="1:23" ht="15">
      <c r="A20" s="35">
        <v>1</v>
      </c>
      <c r="B20" s="36">
        <v>4</v>
      </c>
      <c r="C20" s="36">
        <v>0</v>
      </c>
      <c r="D20" s="37">
        <v>44958</v>
      </c>
      <c r="E20" s="38" t="s">
        <v>23</v>
      </c>
      <c r="F20" s="63">
        <f>VLOOKUP(E20,'Cálculo del monto a financiar'!$C$2:$D$13,2,FALSE)</f>
        <v>500</v>
      </c>
      <c r="G20" s="63"/>
      <c r="H20" s="63">
        <f t="shared" si="0"/>
        <v>500</v>
      </c>
      <c r="J20" s="70">
        <v>125</v>
      </c>
      <c r="K20" s="64"/>
      <c r="L20" s="71"/>
      <c r="M20" s="94">
        <f t="shared" si="1"/>
        <v>625</v>
      </c>
      <c r="N20" s="79"/>
      <c r="O20" s="80"/>
      <c r="P20" s="79"/>
      <c r="Q20" s="65"/>
      <c r="R20" s="65"/>
      <c r="S20" s="122"/>
      <c r="T20" s="123"/>
      <c r="U20" s="123"/>
      <c r="V20" s="123"/>
      <c r="W20" s="124"/>
    </row>
    <row r="21" spans="1:23" ht="15">
      <c r="A21" s="35">
        <f>A20+1</f>
        <v>2</v>
      </c>
      <c r="B21" s="36">
        <v>4</v>
      </c>
      <c r="C21" s="36">
        <v>1</v>
      </c>
      <c r="D21" s="37">
        <v>44958</v>
      </c>
      <c r="E21" s="38" t="s">
        <v>26</v>
      </c>
      <c r="F21" s="63">
        <f>VLOOKUP(E21,'Cálculo del monto a financiar'!$C$2:$D$13,2,FALSE)</f>
        <v>900</v>
      </c>
      <c r="G21" s="63"/>
      <c r="H21" s="63">
        <f t="shared" si="0"/>
        <v>900</v>
      </c>
      <c r="J21" s="70"/>
      <c r="K21" s="64"/>
      <c r="L21" s="71"/>
      <c r="M21" s="94">
        <f t="shared" si="1"/>
        <v>900</v>
      </c>
      <c r="N21" s="79"/>
      <c r="O21" s="80"/>
      <c r="P21" s="79"/>
      <c r="Q21" s="65"/>
      <c r="R21" s="65"/>
      <c r="S21" s="122"/>
      <c r="T21" s="123"/>
      <c r="U21" s="123"/>
      <c r="V21" s="123"/>
      <c r="W21" s="124"/>
    </row>
    <row r="22" spans="1:23" ht="15">
      <c r="A22" s="35">
        <f aca="true" t="shared" si="4" ref="A22:A29">A21+1</f>
        <v>3</v>
      </c>
      <c r="B22" s="36">
        <v>4</v>
      </c>
      <c r="C22" s="36">
        <v>2</v>
      </c>
      <c r="D22" s="37">
        <v>44986</v>
      </c>
      <c r="E22" s="38" t="s">
        <v>26</v>
      </c>
      <c r="F22" s="63">
        <f>VLOOKUP(E22,'Cálculo del monto a financiar'!$C$2:$D$13,2,FALSE)</f>
        <v>900</v>
      </c>
      <c r="G22" s="63"/>
      <c r="H22" s="63">
        <f t="shared" si="0"/>
        <v>900</v>
      </c>
      <c r="J22" s="70"/>
      <c r="K22" s="64"/>
      <c r="L22" s="71"/>
      <c r="M22" s="94">
        <f t="shared" si="1"/>
        <v>900</v>
      </c>
      <c r="N22" s="79"/>
      <c r="O22" s="80"/>
      <c r="P22" s="79"/>
      <c r="Q22" s="65"/>
      <c r="R22" s="65"/>
      <c r="S22" s="122"/>
      <c r="T22" s="123"/>
      <c r="U22" s="123"/>
      <c r="V22" s="123"/>
      <c r="W22" s="124"/>
    </row>
    <row r="23" spans="1:23" ht="15">
      <c r="A23" s="35">
        <f t="shared" si="4"/>
        <v>4</v>
      </c>
      <c r="B23" s="36">
        <v>4</v>
      </c>
      <c r="C23" s="36">
        <v>3</v>
      </c>
      <c r="D23" s="37">
        <v>45017</v>
      </c>
      <c r="E23" s="38" t="s">
        <v>26</v>
      </c>
      <c r="F23" s="63">
        <f>VLOOKUP(E23,'Cálculo del monto a financiar'!$C$2:$D$13,2,FALSE)</f>
        <v>900</v>
      </c>
      <c r="G23" s="63"/>
      <c r="H23" s="63">
        <f t="shared" si="0"/>
        <v>900</v>
      </c>
      <c r="J23" s="70"/>
      <c r="K23" s="64"/>
      <c r="L23" s="71"/>
      <c r="M23" s="94">
        <f t="shared" si="1"/>
        <v>900</v>
      </c>
      <c r="N23" s="79"/>
      <c r="O23" s="80"/>
      <c r="P23" s="79"/>
      <c r="Q23" s="65"/>
      <c r="R23" s="65"/>
      <c r="S23" s="122"/>
      <c r="T23" s="123"/>
      <c r="U23" s="123"/>
      <c r="V23" s="123"/>
      <c r="W23" s="124"/>
    </row>
    <row r="24" spans="1:23" ht="15">
      <c r="A24" s="35">
        <f t="shared" si="4"/>
        <v>5</v>
      </c>
      <c r="B24" s="36">
        <v>4</v>
      </c>
      <c r="C24" s="36">
        <v>4</v>
      </c>
      <c r="D24" s="37">
        <v>45047</v>
      </c>
      <c r="E24" s="38" t="s">
        <v>26</v>
      </c>
      <c r="F24" s="63">
        <f>VLOOKUP(E24,'Cálculo del monto a financiar'!$C$2:$D$13,2,FALSE)</f>
        <v>900</v>
      </c>
      <c r="G24" s="63"/>
      <c r="H24" s="63">
        <f t="shared" si="0"/>
        <v>900</v>
      </c>
      <c r="J24" s="70"/>
      <c r="K24" s="64"/>
      <c r="L24" s="71"/>
      <c r="M24" s="94">
        <f>SUM(H24:L24)</f>
        <v>900</v>
      </c>
      <c r="N24" s="81">
        <f>D20</f>
        <v>44958</v>
      </c>
      <c r="O24" s="82">
        <f>SUM(H20:H24)</f>
        <v>4100</v>
      </c>
      <c r="P24" s="79"/>
      <c r="Q24" s="65"/>
      <c r="R24" s="65"/>
      <c r="S24" s="122"/>
      <c r="T24" s="123"/>
      <c r="U24" s="123"/>
      <c r="V24" s="123"/>
      <c r="W24" s="124"/>
    </row>
    <row r="25" spans="1:23" ht="15">
      <c r="A25" s="35">
        <f t="shared" si="4"/>
        <v>6</v>
      </c>
      <c r="B25" s="36">
        <v>5</v>
      </c>
      <c r="C25" s="36">
        <v>0</v>
      </c>
      <c r="D25" s="37">
        <v>45078</v>
      </c>
      <c r="E25" s="38" t="s">
        <v>23</v>
      </c>
      <c r="F25" s="63">
        <f>VLOOKUP(E25,'Cálculo del monto a financiar'!$C$2:$D$13,2,FALSE)</f>
        <v>500</v>
      </c>
      <c r="G25" s="63"/>
      <c r="H25" s="63">
        <f t="shared" si="0"/>
        <v>500</v>
      </c>
      <c r="J25" s="70">
        <v>125</v>
      </c>
      <c r="K25" s="64"/>
      <c r="L25" s="71"/>
      <c r="M25" s="94">
        <f t="shared" si="1"/>
        <v>625</v>
      </c>
      <c r="N25" s="79"/>
      <c r="O25" s="80"/>
      <c r="P25" s="79"/>
      <c r="Q25" s="65"/>
      <c r="R25" s="65"/>
      <c r="S25" s="122"/>
      <c r="T25" s="123"/>
      <c r="U25" s="123"/>
      <c r="V25" s="123"/>
      <c r="W25" s="124"/>
    </row>
    <row r="26" spans="1:23" ht="15">
      <c r="A26" s="35">
        <f t="shared" si="4"/>
        <v>7</v>
      </c>
      <c r="B26" s="36">
        <v>5</v>
      </c>
      <c r="C26" s="36">
        <v>1</v>
      </c>
      <c r="D26" s="37">
        <v>45078</v>
      </c>
      <c r="E26" s="38" t="s">
        <v>26</v>
      </c>
      <c r="F26" s="63">
        <f>VLOOKUP(E26,'Cálculo del monto a financiar'!$C$2:$D$13,2,FALSE)</f>
        <v>900</v>
      </c>
      <c r="G26" s="63"/>
      <c r="H26" s="63">
        <f t="shared" si="0"/>
        <v>900</v>
      </c>
      <c r="J26" s="70"/>
      <c r="K26" s="64"/>
      <c r="L26" s="71"/>
      <c r="M26" s="94">
        <f t="shared" si="1"/>
        <v>900</v>
      </c>
      <c r="N26" s="79"/>
      <c r="O26" s="80"/>
      <c r="P26" s="79"/>
      <c r="Q26" s="65"/>
      <c r="R26" s="65"/>
      <c r="S26" s="122"/>
      <c r="T26" s="123"/>
      <c r="U26" s="123"/>
      <c r="V26" s="123"/>
      <c r="W26" s="124"/>
    </row>
    <row r="27" spans="1:23" ht="15">
      <c r="A27" s="35">
        <f t="shared" si="4"/>
        <v>8</v>
      </c>
      <c r="B27" s="36">
        <v>5</v>
      </c>
      <c r="C27" s="36">
        <v>2</v>
      </c>
      <c r="D27" s="37">
        <v>45108</v>
      </c>
      <c r="E27" s="38" t="s">
        <v>26</v>
      </c>
      <c r="F27" s="63">
        <f>VLOOKUP(E27,'Cálculo del monto a financiar'!$C$2:$D$13,2,FALSE)</f>
        <v>900</v>
      </c>
      <c r="G27" s="66">
        <v>600</v>
      </c>
      <c r="H27" s="66">
        <v>300</v>
      </c>
      <c r="J27" s="70"/>
      <c r="K27" s="64"/>
      <c r="L27" s="71"/>
      <c r="M27" s="94">
        <f t="shared" si="1"/>
        <v>300</v>
      </c>
      <c r="N27" s="79"/>
      <c r="O27" s="80"/>
      <c r="P27" s="79"/>
      <c r="Q27" s="65"/>
      <c r="R27" s="65"/>
      <c r="S27" s="122"/>
      <c r="T27" s="123"/>
      <c r="U27" s="123"/>
      <c r="V27" s="123"/>
      <c r="W27" s="124"/>
    </row>
    <row r="28" spans="1:23" ht="15">
      <c r="A28" s="35">
        <f t="shared" si="4"/>
        <v>9</v>
      </c>
      <c r="B28" s="36">
        <v>5</v>
      </c>
      <c r="C28" s="36">
        <v>3</v>
      </c>
      <c r="D28" s="37">
        <v>45139</v>
      </c>
      <c r="E28" s="38" t="s">
        <v>26</v>
      </c>
      <c r="F28" s="63">
        <f>VLOOKUP(E28,'Cálculo del monto a financiar'!$C$2:$D$13,2,FALSE)</f>
        <v>900</v>
      </c>
      <c r="G28" s="63">
        <f aca="true" t="shared" si="5" ref="G28:G34">F28</f>
        <v>900</v>
      </c>
      <c r="H28" s="63"/>
      <c r="J28" s="70"/>
      <c r="K28" s="64"/>
      <c r="L28" s="71"/>
      <c r="M28" s="94">
        <f t="shared" si="1"/>
        <v>0</v>
      </c>
      <c r="N28" s="79"/>
      <c r="O28" s="80"/>
      <c r="P28" s="79"/>
      <c r="Q28" s="65"/>
      <c r="R28" s="65"/>
      <c r="S28" s="122"/>
      <c r="T28" s="123"/>
      <c r="U28" s="123"/>
      <c r="V28" s="123"/>
      <c r="W28" s="124"/>
    </row>
    <row r="29" spans="1:23" ht="15">
      <c r="A29" s="35">
        <f t="shared" si="4"/>
        <v>10</v>
      </c>
      <c r="B29" s="36">
        <v>5</v>
      </c>
      <c r="C29" s="36">
        <v>4</v>
      </c>
      <c r="D29" s="37">
        <v>45170</v>
      </c>
      <c r="E29" s="38" t="s">
        <v>26</v>
      </c>
      <c r="F29" s="63">
        <f>VLOOKUP(E29,'Cálculo del monto a financiar'!$C$2:$D$13,2,FALSE)</f>
        <v>900</v>
      </c>
      <c r="G29" s="63">
        <f t="shared" si="5"/>
        <v>900</v>
      </c>
      <c r="H29" s="63"/>
      <c r="J29" s="70"/>
      <c r="K29" s="64"/>
      <c r="L29" s="71"/>
      <c r="M29" s="94">
        <f t="shared" si="1"/>
        <v>0</v>
      </c>
      <c r="N29" s="81">
        <f>D25</f>
        <v>45078</v>
      </c>
      <c r="O29" s="82">
        <f>SUM(H25:H29)</f>
        <v>1700</v>
      </c>
      <c r="P29" s="79"/>
      <c r="Q29" s="65"/>
      <c r="R29" s="65"/>
      <c r="S29" s="122"/>
      <c r="T29" s="123"/>
      <c r="U29" s="123"/>
      <c r="V29" s="123"/>
      <c r="W29" s="124"/>
    </row>
    <row r="30" spans="1:23" ht="15">
      <c r="A30" s="35">
        <f aca="true" t="shared" si="6" ref="A30:A34">A29+1</f>
        <v>11</v>
      </c>
      <c r="B30" s="36">
        <v>6</v>
      </c>
      <c r="C30" s="36">
        <v>0</v>
      </c>
      <c r="D30" s="37">
        <v>45200</v>
      </c>
      <c r="E30" s="38" t="s">
        <v>23</v>
      </c>
      <c r="F30" s="63">
        <f>VLOOKUP(E30,'Cálculo del monto a financiar'!$C$2:$D$13,2,FALSE)</f>
        <v>500</v>
      </c>
      <c r="G30" s="63">
        <f t="shared" si="5"/>
        <v>500</v>
      </c>
      <c r="H30" s="63"/>
      <c r="J30" s="70">
        <v>125</v>
      </c>
      <c r="K30" s="64"/>
      <c r="L30" s="71"/>
      <c r="M30" s="94">
        <f t="shared" si="1"/>
        <v>125</v>
      </c>
      <c r="N30" s="79"/>
      <c r="O30" s="80"/>
      <c r="P30" s="79"/>
      <c r="Q30" s="65"/>
      <c r="R30" s="65"/>
      <c r="S30" s="122"/>
      <c r="T30" s="123"/>
      <c r="U30" s="123"/>
      <c r="V30" s="123"/>
      <c r="W30" s="124"/>
    </row>
    <row r="31" spans="1:23" ht="15">
      <c r="A31" s="35">
        <f t="shared" si="6"/>
        <v>12</v>
      </c>
      <c r="B31" s="36">
        <v>6</v>
      </c>
      <c r="C31" s="36">
        <v>1</v>
      </c>
      <c r="D31" s="37">
        <v>45200</v>
      </c>
      <c r="E31" s="38" t="s">
        <v>26</v>
      </c>
      <c r="F31" s="63">
        <f>VLOOKUP(E31,'Cálculo del monto a financiar'!$C$2:$D$13,2,FALSE)</f>
        <v>900</v>
      </c>
      <c r="G31" s="63">
        <f t="shared" si="5"/>
        <v>900</v>
      </c>
      <c r="H31" s="63"/>
      <c r="J31" s="70"/>
      <c r="K31" s="64"/>
      <c r="L31" s="71"/>
      <c r="M31" s="94">
        <f t="shared" si="1"/>
        <v>0</v>
      </c>
      <c r="N31" s="79"/>
      <c r="O31" s="80"/>
      <c r="P31" s="79"/>
      <c r="Q31" s="65"/>
      <c r="R31" s="65"/>
      <c r="S31" s="122"/>
      <c r="T31" s="123"/>
      <c r="U31" s="123"/>
      <c r="V31" s="123"/>
      <c r="W31" s="124"/>
    </row>
    <row r="32" spans="1:23" ht="15">
      <c r="A32" s="35">
        <f t="shared" si="6"/>
        <v>13</v>
      </c>
      <c r="B32" s="36">
        <v>6</v>
      </c>
      <c r="C32" s="36">
        <v>2</v>
      </c>
      <c r="D32" s="37">
        <v>45231</v>
      </c>
      <c r="E32" s="38" t="s">
        <v>26</v>
      </c>
      <c r="F32" s="63">
        <f>VLOOKUP(E32,'Cálculo del monto a financiar'!$C$2:$D$13,2,FALSE)</f>
        <v>900</v>
      </c>
      <c r="G32" s="63">
        <f t="shared" si="5"/>
        <v>900</v>
      </c>
      <c r="H32" s="149"/>
      <c r="J32" s="70"/>
      <c r="K32" s="64"/>
      <c r="L32" s="71"/>
      <c r="M32" s="94">
        <f t="shared" si="1"/>
        <v>0</v>
      </c>
      <c r="N32" s="79"/>
      <c r="O32" s="80"/>
      <c r="P32" s="79"/>
      <c r="Q32" s="65"/>
      <c r="R32" s="65"/>
      <c r="S32" s="122"/>
      <c r="T32" s="123"/>
      <c r="U32" s="123"/>
      <c r="V32" s="123"/>
      <c r="W32" s="124"/>
    </row>
    <row r="33" spans="1:23" ht="15">
      <c r="A33" s="35">
        <f t="shared" si="6"/>
        <v>14</v>
      </c>
      <c r="B33" s="36">
        <v>6</v>
      </c>
      <c r="C33" s="36">
        <v>3</v>
      </c>
      <c r="D33" s="37">
        <v>45261</v>
      </c>
      <c r="E33" s="38" t="s">
        <v>26</v>
      </c>
      <c r="F33" s="63">
        <f>VLOOKUP(E33,'Cálculo del monto a financiar'!$C$2:$D$13,2,FALSE)</f>
        <v>900</v>
      </c>
      <c r="G33" s="63">
        <f t="shared" si="5"/>
        <v>900</v>
      </c>
      <c r="H33" s="63"/>
      <c r="J33" s="70"/>
      <c r="K33" s="64"/>
      <c r="L33" s="71"/>
      <c r="M33" s="94">
        <f t="shared" si="1"/>
        <v>0</v>
      </c>
      <c r="N33" s="79"/>
      <c r="O33" s="80"/>
      <c r="P33" s="79"/>
      <c r="Q33" s="65"/>
      <c r="R33" s="65"/>
      <c r="S33" s="122"/>
      <c r="T33" s="123"/>
      <c r="U33" s="123"/>
      <c r="V33" s="123"/>
      <c r="W33" s="124"/>
    </row>
    <row r="34" spans="1:23" ht="15">
      <c r="A34" s="35">
        <f t="shared" si="6"/>
        <v>15</v>
      </c>
      <c r="B34" s="36">
        <v>6</v>
      </c>
      <c r="C34" s="36">
        <v>4</v>
      </c>
      <c r="D34" s="37">
        <v>45292</v>
      </c>
      <c r="E34" s="38" t="s">
        <v>26</v>
      </c>
      <c r="F34" s="63">
        <f>VLOOKUP(E34,'Cálculo del monto a financiar'!$C$2:$D$13,2,FALSE)</f>
        <v>900</v>
      </c>
      <c r="G34" s="63">
        <f t="shared" si="5"/>
        <v>900</v>
      </c>
      <c r="H34" s="63"/>
      <c r="J34" s="70"/>
      <c r="K34" s="64"/>
      <c r="L34" s="71"/>
      <c r="M34" s="94">
        <f t="shared" si="1"/>
        <v>0</v>
      </c>
      <c r="N34" s="81">
        <f>D30</f>
        <v>45200</v>
      </c>
      <c r="O34" s="82">
        <f>SUM(H30:H34)</f>
        <v>0</v>
      </c>
      <c r="P34" s="79"/>
      <c r="Q34" s="65"/>
      <c r="R34" s="65"/>
      <c r="S34" s="122"/>
      <c r="T34" s="123"/>
      <c r="U34" s="123"/>
      <c r="V34" s="123"/>
      <c r="W34" s="124"/>
    </row>
    <row r="35" spans="1:23" ht="15">
      <c r="A35" s="141">
        <v>16</v>
      </c>
      <c r="B35" s="142" t="s">
        <v>61</v>
      </c>
      <c r="C35" s="142" t="s">
        <v>61</v>
      </c>
      <c r="D35" s="143">
        <v>45323</v>
      </c>
      <c r="E35" s="144" t="s">
        <v>62</v>
      </c>
      <c r="F35" s="145"/>
      <c r="G35" s="145"/>
      <c r="H35" s="145"/>
      <c r="J35" s="70"/>
      <c r="K35" s="64">
        <v>1000</v>
      </c>
      <c r="L35" s="71"/>
      <c r="M35" s="94">
        <f t="shared" si="1"/>
        <v>1000</v>
      </c>
      <c r="N35" s="79"/>
      <c r="O35" s="80"/>
      <c r="P35" s="79"/>
      <c r="Q35" s="65"/>
      <c r="R35" s="65"/>
      <c r="S35" s="122"/>
      <c r="T35" s="123"/>
      <c r="U35" s="123"/>
      <c r="V35" s="123"/>
      <c r="W35" s="124"/>
    </row>
    <row r="36" spans="1:23" ht="15">
      <c r="A36" s="141">
        <v>17</v>
      </c>
      <c r="B36" s="142" t="s">
        <v>61</v>
      </c>
      <c r="C36" s="142" t="s">
        <v>61</v>
      </c>
      <c r="D36" s="143">
        <v>45658</v>
      </c>
      <c r="E36" s="144" t="s">
        <v>63</v>
      </c>
      <c r="F36" s="145"/>
      <c r="G36" s="145"/>
      <c r="H36" s="145"/>
      <c r="J36" s="70"/>
      <c r="K36" s="64"/>
      <c r="L36" s="71">
        <v>1000</v>
      </c>
      <c r="M36" s="94">
        <f t="shared" si="1"/>
        <v>1000</v>
      </c>
      <c r="N36" s="79"/>
      <c r="O36" s="80"/>
      <c r="P36" s="79"/>
      <c r="Q36" s="65"/>
      <c r="R36" s="65"/>
      <c r="S36" s="122"/>
      <c r="T36" s="123"/>
      <c r="U36" s="123"/>
      <c r="V36" s="123"/>
      <c r="W36" s="124"/>
    </row>
    <row r="37" spans="6:23" ht="15">
      <c r="F37" s="65"/>
      <c r="G37" s="65"/>
      <c r="H37" s="65"/>
      <c r="J37" s="72"/>
      <c r="K37" s="65"/>
      <c r="L37" s="73"/>
      <c r="M37" s="73"/>
      <c r="N37" s="79"/>
      <c r="O37" s="80"/>
      <c r="P37" s="79"/>
      <c r="Q37" s="65"/>
      <c r="R37" s="65"/>
      <c r="S37" s="122"/>
      <c r="T37" s="123"/>
      <c r="U37" s="123"/>
      <c r="V37" s="123"/>
      <c r="W37" s="124"/>
    </row>
    <row r="38" spans="6:23" ht="15">
      <c r="F38" s="65"/>
      <c r="G38" s="65"/>
      <c r="H38" s="65"/>
      <c r="J38" s="72"/>
      <c r="K38" s="65"/>
      <c r="L38" s="73"/>
      <c r="M38" s="73"/>
      <c r="N38" s="79"/>
      <c r="O38" s="80"/>
      <c r="P38" s="79"/>
      <c r="Q38" s="65"/>
      <c r="R38" s="65"/>
      <c r="S38" s="125"/>
      <c r="T38" s="126"/>
      <c r="U38" s="126"/>
      <c r="V38" s="126"/>
      <c r="W38" s="127"/>
    </row>
    <row r="39" spans="5:23" ht="13.5" thickBot="1">
      <c r="E39" s="39" t="s">
        <v>64</v>
      </c>
      <c r="F39" s="146">
        <f>SUM(F10:F38)</f>
        <v>20500</v>
      </c>
      <c r="G39" s="146">
        <f aca="true" t="shared" si="7" ref="G39:Q39">SUM(G10:G38)</f>
        <v>6500</v>
      </c>
      <c r="H39" s="67">
        <f t="shared" si="7"/>
        <v>14000</v>
      </c>
      <c r="J39" s="74">
        <f t="shared" si="7"/>
        <v>625</v>
      </c>
      <c r="K39" s="75">
        <f t="shared" si="7"/>
        <v>1000</v>
      </c>
      <c r="L39" s="76">
        <f t="shared" si="7"/>
        <v>1000</v>
      </c>
      <c r="M39" s="95">
        <f t="shared" si="7"/>
        <v>16625</v>
      </c>
      <c r="N39" s="83"/>
      <c r="O39" s="118">
        <f t="shared" si="7"/>
        <v>14000</v>
      </c>
      <c r="P39" s="83"/>
      <c r="Q39" s="116">
        <f t="shared" si="7"/>
        <v>6000</v>
      </c>
      <c r="R39" s="90"/>
      <c r="S39" s="114">
        <f>H39-Q39</f>
        <v>8000</v>
      </c>
      <c r="T39" s="115">
        <f>J39</f>
        <v>625</v>
      </c>
      <c r="U39" s="115">
        <f>K39</f>
        <v>1000</v>
      </c>
      <c r="V39" s="115">
        <f>L39</f>
        <v>1000</v>
      </c>
      <c r="W39" s="117">
        <f>SUM(S39:V39)</f>
        <v>10625</v>
      </c>
    </row>
    <row r="40" spans="6:13" ht="15">
      <c r="F40" s="65"/>
      <c r="J40" s="65"/>
      <c r="K40" s="65"/>
      <c r="L40" s="65"/>
      <c r="M40" s="65"/>
    </row>
    <row r="42" spans="4:8" ht="15">
      <c r="D42" s="131"/>
      <c r="E42" s="132" t="s">
        <v>65</v>
      </c>
      <c r="F42" s="130">
        <f>'Cálculo del monto a financiar'!D14</f>
        <v>20500</v>
      </c>
      <c r="G42" s="130">
        <f>'Cálculo del monto a financiar'!D19</f>
        <v>6500</v>
      </c>
      <c r="H42" s="130">
        <f>'Cálculo del monto a financiar'!D18</f>
        <v>14000</v>
      </c>
    </row>
    <row r="43" spans="4:8" ht="15">
      <c r="D43" s="131"/>
      <c r="E43" s="132" t="s">
        <v>66</v>
      </c>
      <c r="F43" s="130" t="str">
        <f>IF(F39='Cálculo del monto a financiar'!D14,"OK","Revise y corrija")</f>
        <v>OK</v>
      </c>
      <c r="G43" s="130" t="str">
        <f>IF(G39='Cálculo del monto a financiar'!D19,"OK","Revise y corrija")</f>
        <v>OK</v>
      </c>
      <c r="H43" s="130" t="str">
        <f>IF(H39='Cálculo del monto a financiar'!D18,"OK","Revise y corrija")</f>
        <v>OK</v>
      </c>
    </row>
    <row r="44" spans="6:8" ht="15">
      <c r="F44" s="31"/>
      <c r="G44" s="31"/>
      <c r="H44" s="31"/>
    </row>
    <row r="45" spans="6:8" ht="15">
      <c r="F45" s="31"/>
      <c r="G45" s="31"/>
      <c r="H45" s="31"/>
    </row>
    <row r="46" spans="6:8" ht="15">
      <c r="F46" s="31"/>
      <c r="G46" s="31"/>
      <c r="H46" s="31"/>
    </row>
    <row r="47" spans="6:8" ht="15">
      <c r="F47" s="31"/>
      <c r="G47" s="31"/>
      <c r="H47" s="31"/>
    </row>
    <row r="48" spans="6:8" ht="15">
      <c r="F48" s="31"/>
      <c r="G48" s="31"/>
      <c r="H48" s="31"/>
    </row>
    <row r="49" spans="6:8" ht="15">
      <c r="F49" s="31"/>
      <c r="G49" s="31"/>
      <c r="H49" s="31"/>
    </row>
  </sheetData>
  <autoFilter ref="A9:F35"/>
  <conditionalFormatting sqref="D4:D7">
    <cfRule type="containsText" priority="1" dxfId="12" operator="containsText" text="REVISE">
      <formula>NOT(ISERROR(SEARCH("REVISE",D4)))</formula>
    </cfRule>
    <cfRule type="containsText" priority="2" dxfId="12" operator="containsText" text="REVISE">
      <formula>NOT(ISERROR(SEARCH("REVISE",D4)))</formula>
    </cfRule>
  </conditionalFormatting>
  <dataValidations count="1" disablePrompts="1">
    <dataValidation type="list" allowBlank="1" showInputMessage="1" showErrorMessage="1" sqref="E10:E34">
      <formula1>DATOS!$C$2:$C$3</formula1>
    </dataValidation>
  </dataValidations>
  <printOptions/>
  <pageMargins left="0.7" right="0.7" top="0.75" bottom="0.75" header="0.3" footer="0.3"/>
  <pageSetup fitToWidth="2" horizontalDpi="600" verticalDpi="600" orientation="landscape" paperSize="9" scale="73" r:id="rId1"/>
  <colBreaks count="1" manualBreakCount="1">
    <brk id="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 topLeftCell="A1">
      <selection activeCell="G15" sqref="G15"/>
    </sheetView>
  </sheetViews>
  <sheetFormatPr defaultColWidth="11.421875" defaultRowHeight="15"/>
  <cols>
    <col min="1" max="1" width="19.140625" style="46" bestFit="1" customWidth="1"/>
    <col min="2" max="2" width="11.421875" style="46" customWidth="1"/>
    <col min="3" max="3" width="30.00390625" style="46" customWidth="1"/>
    <col min="4" max="16384" width="11.421875" style="46" customWidth="1"/>
  </cols>
  <sheetData>
    <row r="1" spans="1:3" ht="15">
      <c r="A1" s="46" t="s">
        <v>6</v>
      </c>
      <c r="C1" s="46" t="s">
        <v>67</v>
      </c>
    </row>
    <row r="2" spans="1:3" ht="15">
      <c r="A2" s="46" t="s">
        <v>68</v>
      </c>
      <c r="C2" s="46" t="s">
        <v>23</v>
      </c>
    </row>
    <row r="3" spans="1:3" ht="15">
      <c r="A3" s="46" t="s">
        <v>7</v>
      </c>
      <c r="C3" s="46" t="s">
        <v>26</v>
      </c>
    </row>
    <row r="4" ht="15">
      <c r="A4" s="46" t="s">
        <v>69</v>
      </c>
    </row>
    <row r="6" spans="1:3" ht="15">
      <c r="A6" s="46" t="s">
        <v>8</v>
      </c>
      <c r="C6" s="46" t="s">
        <v>70</v>
      </c>
    </row>
    <row r="7" spans="1:3" ht="15">
      <c r="A7" s="46" t="s">
        <v>9</v>
      </c>
      <c r="C7" s="46" t="s">
        <v>71</v>
      </c>
    </row>
    <row r="8" spans="1:3" ht="15">
      <c r="A8" s="46" t="s">
        <v>72</v>
      </c>
      <c r="C8" s="46" t="s">
        <v>16</v>
      </c>
    </row>
    <row r="11" spans="1:3" ht="20">
      <c r="A11" s="47" t="s">
        <v>73</v>
      </c>
      <c r="B11" s="47" t="s">
        <v>8</v>
      </c>
      <c r="C11" s="47" t="s">
        <v>74</v>
      </c>
    </row>
    <row r="12" spans="1:3" ht="15">
      <c r="A12" s="48" t="s">
        <v>75</v>
      </c>
      <c r="B12" s="48" t="s">
        <v>9</v>
      </c>
      <c r="C12" s="49">
        <v>14000</v>
      </c>
    </row>
    <row r="13" spans="1:3" ht="15">
      <c r="A13" s="48" t="s">
        <v>76</v>
      </c>
      <c r="B13" s="48" t="s">
        <v>9</v>
      </c>
      <c r="C13" s="49">
        <v>59000</v>
      </c>
    </row>
    <row r="14" spans="1:3" ht="15">
      <c r="A14" s="48" t="s">
        <v>77</v>
      </c>
      <c r="B14" s="48" t="s">
        <v>9</v>
      </c>
      <c r="C14" s="49">
        <v>10000</v>
      </c>
    </row>
    <row r="15" spans="1:3" ht="15">
      <c r="A15" s="48" t="s">
        <v>78</v>
      </c>
      <c r="B15" s="48" t="s">
        <v>79</v>
      </c>
      <c r="C15" s="49" t="s">
        <v>80</v>
      </c>
    </row>
    <row r="16" spans="1:3" ht="15">
      <c r="A16" s="48" t="s">
        <v>81</v>
      </c>
      <c r="B16" s="48" t="s">
        <v>72</v>
      </c>
      <c r="C16" s="49">
        <v>24000</v>
      </c>
    </row>
    <row r="17" spans="1:3" ht="15">
      <c r="A17" s="48" t="s">
        <v>82</v>
      </c>
      <c r="B17" s="48" t="s">
        <v>72</v>
      </c>
      <c r="C17" s="49">
        <v>99000</v>
      </c>
    </row>
    <row r="18" spans="1:5" ht="15">
      <c r="A18" s="50"/>
      <c r="B18" s="50"/>
      <c r="C18" s="50"/>
      <c r="E18" s="50"/>
    </row>
  </sheetData>
  <sheetProtection algorithmName="SHA-512" hashValue="Vpas/9VarVuhiLBglXJuRK0iHhahfsVb94NciHIkKhEHvTcy1DNs4icY3RMMj+f9Vz/jkI4k04LFzrXNdG5L6A==" saltValue="rfw2Ti0h3mRpZpAYzcBsLg==" spinCount="100000" sheet="1" objects="1" scenarios="1"/>
  <printOptions/>
  <pageMargins left="0.7" right="0.7" top="0.75" bottom="0.75" header="0.3" footer="0.3"/>
  <pageSetup orientation="portrait" paperSize="9"/>
  <tableParts>
    <tablePart r:id="rId4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Alalú</dc:creator>
  <cp:keywords/>
  <dc:description/>
  <cp:lastModifiedBy>Deborah Alalú</cp:lastModifiedBy>
  <dcterms:created xsi:type="dcterms:W3CDTF">2022-05-31T15:36:10Z</dcterms:created>
  <dcterms:modified xsi:type="dcterms:W3CDTF">2022-07-14T21:11:21Z</dcterms:modified>
  <cp:category/>
  <cp:version/>
  <cp:contentType/>
  <cp:contentStatus/>
</cp:coreProperties>
</file>